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<sst xmlns="http://schemas.openxmlformats.org/spreadsheetml/2006/main" count="195" uniqueCount="193">
  <si>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</si>
  <si>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</si>
  <si>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</si>
  <si>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</si>
  <si>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</si>
  <si>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</si>
  <si>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</si>
  <si>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</si>
  <si>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</si>
  <si>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</si>
  <si>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</si>
  <si>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</si>
  <si>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</si>
  <si>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</si>
  <si>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</si>
  <si>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</si>
  <si>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</si>
  <si>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</si>
  <si>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</si>
  <si>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</si>
  <si>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</si>
  <si>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</si>
  <si>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</si>
  <si>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</si>
  <si>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</si>
  <si>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</si>
  <si>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</si>
  <si>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</si>
  <si>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</si>
  <si>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</si>
  <si>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</si>
  <si>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</si>
  <si>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</si>
  <si>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</si>
  <si>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</si>
  <si>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</si>
  <si>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</si>
  <si>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</si>
  <si>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</si>
  <si>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</si>
  <si>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</si>
  <si>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</si>
  <si>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</si>
  <si>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</si>
  <si>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</si>
  <si>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</si>
  <si>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</si>
  <si>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</si>
  <si>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</si>
  <si>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</si>
  <si>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</si>
  <si>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</si>
  <si>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</si>
  <si>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</si>
  <si>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</si>
  <si>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</si>
  <si>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</si>
  <si>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</si>
  <si>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</si>
  <si>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</si>
  <si>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</si>
  <si>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</si>
  <si>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</si>
  <si>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</si>
  <si>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</si>
  <si>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</si>
  <si>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</si>
  <si>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</si>
  <si>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</si>
  <si>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</si>
  <si>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</si>
  <si>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</si>
  <si>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</si>
  <si>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</si>
  <si>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</si>
  <si>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</si>
  <si>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</si>
  <si>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</si>
  <si>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</si>
  <si>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</si>
  <si>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</si>
  <si>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</si>
  <si>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</si>
  <si>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</si>
  <si>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</si>
  <si>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</si>
  <si>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</si>
  <si>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</si>
  <si>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</si>
  <si>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</si>
  <si>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</si>
  <si>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</si>
  <si>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</si>
  <si>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</si>
  <si>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</si>
  <si>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</si>
  <si>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</si>
  <si>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</si>
  <si>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</si>
  <si>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</si>
  <si>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</si>
  <si>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</si>
  <si>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</si>
  <si>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</si>
  <si>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</si>
  <si>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</si>
  <si>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</si>
  <si>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</si>
  <si>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</si>
  <si>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</si>
  <si>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</si>
  <si>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</si>
  <si>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</si>
  <si>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</si>
  <si>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</si>
  <si>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</si>
  <si>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</si>
  <si>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</si>
  <si>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</si>
  <si>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</si>
  <si>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</si>
  <si>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</si>
  <si>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</si>
  <si>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</si>
  <si>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</si>
  <si>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</si>
  <si>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</si>
  <si>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</si>
  <si>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</si>
  <si>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</si>
  <si>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</si>
  <si>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</si>
  <si>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</si>
  <si>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</si>
  <si>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</si>
  <si>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</si>
  <si>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</si>
  <si>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</si>
  <si>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</si>
  <si>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</si>
  <si>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</si>
  <si>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</si>
  <si>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</si>
  <si>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</si>
  <si>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</si>
  <si>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</si>
  <si>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</si>
  <si>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</si>
  <si>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</si>
  <si>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</si>
  <si>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</si>
  <si>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</si>
  <si>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</si>
  <si>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</si>
  <si>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</si>
  <si>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</si>
  <si>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</si>
  <si>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</si>
  <si>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</si>
  <si>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</si>
  <si>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</si>
  <si>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</si>
  <si>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</si>
  <si>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</si>
  <si>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</si>
  <si>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</si>
  <si>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</si>
  <si>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</si>
  <si>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</si>
  <si>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</si>
  <si>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</si>
  <si>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</si>
  <si>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</si>
  <si>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</si>
  <si>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</si>
  <si>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</si>
  <si>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</si>
  <si>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</si>
  <si>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</si>
  <si>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</si>
  <si>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</si>
  <si>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</si>
  <si>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</si>
  <si>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</si>
  <si>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</si>
  <si>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</si>
  <si>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</si>
  <si>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</si>
  <si>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</si>
  <si>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</si>
  <si>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</si>
  <si>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 xml:space="preserve"> </t>
  </si>
  <si>
    <t>Профінансовано станом на 26.04.17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</si>
</sst>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3" xfId="84" applyFont="1" applyBorder="1" applyAlignment="1">
      <alignment horizontal="center" wrapText="1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6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R14" sqref="AR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16384" width="9.33203125" style="6" customWidth="1"/>
  </cols>
  <sheetData>
    <row r="2" spans="1:7" ht="21" customHeight="1">
      <c r="A2" s="86" t="s">
        <v>8</v>
      </c>
      <c r="B2" s="86"/>
      <c r="C2" s="86"/>
      <c r="D2" s="86"/>
      <c r="E2" s="86"/>
      <c r="F2" s="86"/>
      <c r="G2" s="86"/>
    </row>
    <row r="3" spans="1:7" ht="20.25" customHeight="1">
      <c r="A3" s="87" t="s">
        <v>23</v>
      </c>
      <c r="B3" s="87"/>
      <c r="C3" s="87"/>
      <c r="D3" s="87"/>
      <c r="E3" s="87"/>
      <c r="F3" s="87"/>
      <c r="G3" s="87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8" t="s">
        <v>5</v>
      </c>
      <c r="B5" s="11"/>
      <c r="C5" s="88" t="s">
        <v>10</v>
      </c>
      <c r="D5" s="81" t="s">
        <v>11</v>
      </c>
      <c r="E5" s="81" t="s">
        <v>0</v>
      </c>
      <c r="F5" s="81" t="s">
        <v>1</v>
      </c>
      <c r="G5" s="13" t="s">
        <v>2</v>
      </c>
      <c r="H5" s="81" t="s">
        <v>192</v>
      </c>
      <c r="I5" s="74" t="s">
        <v>22</v>
      </c>
      <c r="J5" s="74" t="s">
        <v>189</v>
      </c>
    </row>
    <row r="6" spans="1:25" ht="35.25" customHeight="1">
      <c r="A6" s="89"/>
      <c r="B6" s="14" t="s">
        <v>6</v>
      </c>
      <c r="C6" s="89"/>
      <c r="D6" s="82"/>
      <c r="E6" s="82"/>
      <c r="F6" s="82"/>
      <c r="G6" s="12" t="s">
        <v>4</v>
      </c>
      <c r="H6" s="82"/>
      <c r="I6" s="75"/>
      <c r="J6" s="75"/>
      <c r="L6" s="76" t="s">
        <v>190</v>
      </c>
      <c r="M6" s="74" t="s">
        <v>28</v>
      </c>
      <c r="N6" s="83" t="s">
        <v>29</v>
      </c>
      <c r="O6" s="74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4" t="s">
        <v>35</v>
      </c>
      <c r="U6" s="74" t="s">
        <v>36</v>
      </c>
      <c r="V6" s="74" t="s">
        <v>37</v>
      </c>
      <c r="W6" s="74" t="s">
        <v>38</v>
      </c>
      <c r="X6" s="74" t="s">
        <v>39</v>
      </c>
      <c r="Y6" s="7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9"/>
      <c r="C8" s="79"/>
      <c r="D8" s="79"/>
      <c r="E8" s="79"/>
      <c r="F8" s="79"/>
      <c r="G8" s="79"/>
      <c r="H8" s="79"/>
      <c r="I8" s="79"/>
      <c r="J8" s="8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30781941.089999996</v>
      </c>
      <c r="I9" s="40">
        <f aca="true" t="shared" si="0" ref="I9:I25">H9/D9*100</f>
        <v>20.513344865353407</v>
      </c>
      <c r="J9" s="46">
        <f>H9/(M9+N9+O9+N26+O26+P9+P26)*100</f>
        <v>76.32561504286161</v>
      </c>
      <c r="K9" s="37"/>
      <c r="L9" s="73">
        <f>H10-(M9+N9+O9+P9)</f>
        <v>-4496323.83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1999600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4354600</v>
      </c>
      <c r="T9" s="47">
        <f t="shared" si="1"/>
        <v>4831395.12</v>
      </c>
      <c r="U9" s="47">
        <f t="shared" si="1"/>
        <v>4495700</v>
      </c>
      <c r="V9" s="47">
        <f t="shared" si="1"/>
        <v>6329500</v>
      </c>
      <c r="W9" s="47">
        <f t="shared" si="1"/>
        <v>3812000</v>
      </c>
      <c r="X9" s="47">
        <f t="shared" si="1"/>
        <v>7944800</v>
      </c>
      <c r="Y9" s="22">
        <f>SUM(M9:X9)</f>
        <v>65166999.99999999</v>
      </c>
      <c r="Z9" s="39">
        <f>Y9-D9</f>
        <v>-84891127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12652681.049999999</v>
      </c>
      <c r="I10" s="41">
        <f t="shared" si="0"/>
        <v>19.282626529710285</v>
      </c>
      <c r="J10" s="48">
        <f>H10/(M9+N9+O9+P9)*100</f>
        <v>73.78084698521586</v>
      </c>
      <c r="L10" s="73">
        <f>(H11+H13+H14+H15+H16+H17)-(M10+N10+O10+P10)</f>
        <v>-3393901.5700000003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</f>
        <v>-1080188</v>
      </c>
      <c r="Q10" s="24">
        <f>6870000+330000-1000000</f>
        <v>6200000</v>
      </c>
      <c r="R10" s="24">
        <f>6870000+210000+120000</f>
        <v>7200000</v>
      </c>
      <c r="S10" s="24">
        <f>2350000+153400</f>
        <v>2503400</v>
      </c>
      <c r="T10" s="24">
        <f>2350000+281395.12+300000+268808</f>
        <v>3200203.12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</f>
        <v>3320828</v>
      </c>
      <c r="X10" s="24">
        <f>4750000+100000+85000+260285+2047400+307400</f>
        <v>7550085</v>
      </c>
      <c r="Y10" s="22">
        <f>SUM(M10:X10)</f>
        <v>51110800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90">
        <f>(H11+H13+H14+H15+H16+H17)/(M10+N10+O10+P10)*100</f>
        <v>72.5617102284975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91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91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</f>
        <v>751999.3499999999</v>
      </c>
      <c r="I14" s="42">
        <f t="shared" si="0"/>
        <v>18.218203635116197</v>
      </c>
      <c r="J14" s="91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91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91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2189034.6+2579721.35+237682.01+68555.5+69152.5+61292</f>
        <v>5205437.96</v>
      </c>
      <c r="I17" s="42">
        <f t="shared" si="0"/>
        <v>21.375481113179173</v>
      </c>
      <c r="J17" s="92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3677365.7399999998</v>
      </c>
      <c r="I18" s="42">
        <f t="shared" si="0"/>
        <v>26.161876894181923</v>
      </c>
      <c r="J18" s="90">
        <f>H18/(M18+N18+O18+P18)*100</f>
        <v>76.93574987007791</v>
      </c>
      <c r="L18" s="73">
        <f>H18-(M18+N18+O18+P18)</f>
        <v>-1102422.2600000002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</f>
        <v>1119840.2599999998</v>
      </c>
      <c r="I19" s="42">
        <f t="shared" si="0"/>
        <v>33.72468360529745</v>
      </c>
      <c r="J19" s="91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91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91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</f>
        <v>375700</v>
      </c>
      <c r="I22" s="42">
        <f t="shared" si="0"/>
        <v>33.772304373230256</v>
      </c>
      <c r="J22" s="91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91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91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</f>
        <v>870459.4700000001</v>
      </c>
      <c r="I25" s="42">
        <f t="shared" si="0"/>
        <v>56.02443371173847</v>
      </c>
      <c r="J25" s="92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18129260.04</v>
      </c>
      <c r="I26" s="22">
        <f>H26/D26*100</f>
        <v>21.469704022306573</v>
      </c>
      <c r="J26" s="22">
        <f>H26/(N26+O26+P26)*100</f>
        <v>78.20822112821149</v>
      </c>
      <c r="L26" s="73">
        <f>H26-(M26+N26+O26+P26)</f>
        <v>-5051499.960000001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-119000</v>
      </c>
      <c r="M68" s="71"/>
      <c r="N68" s="71"/>
      <c r="O68" s="71">
        <v>1320000</v>
      </c>
      <c r="P68" s="71">
        <f>-1201000</f>
        <v>-1201000</v>
      </c>
      <c r="Q68" s="71"/>
      <c r="R68" s="71">
        <v>330000</v>
      </c>
      <c r="S68" s="71"/>
      <c r="T68" s="71">
        <f>900000</f>
        <v>900000</v>
      </c>
      <c r="U68" s="71"/>
      <c r="V68" s="71"/>
      <c r="W68" s="71">
        <f>301000</f>
        <v>301000</v>
      </c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67">
        <f>32000+25000+400000</f>
        <v>457000</v>
      </c>
      <c r="I102" s="42">
        <f t="shared" si="14"/>
        <v>59.58279009126467</v>
      </c>
      <c r="J102" s="63">
        <f t="shared" si="15"/>
        <v>95.8674218586113</v>
      </c>
      <c r="L102" s="73">
        <f t="shared" si="16"/>
        <v>-19700</v>
      </c>
      <c r="M102" s="71"/>
      <c r="N102" s="71"/>
      <c r="O102" s="71">
        <v>76700</v>
      </c>
      <c r="P102" s="71">
        <f>400000</f>
        <v>400000</v>
      </c>
      <c r="Q102" s="71"/>
      <c r="R102" s="71"/>
      <c r="S102" s="71"/>
      <c r="T102" s="71"/>
      <c r="U102" s="71">
        <f>536900-400000</f>
        <v>136900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67">
        <f>28000+20000+360000</f>
        <v>408000</v>
      </c>
      <c r="I103" s="42">
        <f t="shared" si="14"/>
        <v>41.67517875383044</v>
      </c>
      <c r="J103" s="63">
        <f t="shared" si="15"/>
        <v>89.1024241100677</v>
      </c>
      <c r="L103" s="73">
        <f t="shared" si="16"/>
        <v>-49900</v>
      </c>
      <c r="M103" s="71"/>
      <c r="N103" s="71"/>
      <c r="O103" s="71">
        <v>97900</v>
      </c>
      <c r="P103" s="71">
        <f>360000</f>
        <v>360000</v>
      </c>
      <c r="Q103" s="71"/>
      <c r="R103" s="71"/>
      <c r="S103" s="71"/>
      <c r="T103" s="71"/>
      <c r="U103" s="71">
        <f>685300-360000</f>
        <v>325300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67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67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67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67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67">
        <f>1100000+1156000+18212.82</f>
        <v>2274212.82</v>
      </c>
      <c r="I108" s="42">
        <f t="shared" si="14"/>
        <v>98.83584615384615</v>
      </c>
      <c r="J108" s="63">
        <f t="shared" si="15"/>
        <v>98.83584615384615</v>
      </c>
      <c r="L108" s="73">
        <f t="shared" si="16"/>
        <v>-26787.180000000168</v>
      </c>
      <c r="M108" s="71"/>
      <c r="N108" s="71"/>
      <c r="O108" s="71">
        <f>1100000</f>
        <v>1100000</v>
      </c>
      <c r="P108" s="71">
        <f>1201000</f>
        <v>1201000</v>
      </c>
      <c r="Q108" s="71"/>
      <c r="R108" s="71"/>
      <c r="S108" s="71"/>
      <c r="T108" s="71">
        <f>1100000-1100000</f>
        <v>0</v>
      </c>
      <c r="U108" s="71"/>
      <c r="V108" s="71"/>
      <c r="W108" s="71">
        <f>1201000-1201000</f>
        <v>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67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67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67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67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 t="e">
        <f t="shared" si="15"/>
        <v>#DIV/0!</v>
      </c>
      <c r="L115" s="73">
        <f t="shared" si="16"/>
        <v>0</v>
      </c>
      <c r="M115" s="71"/>
      <c r="N115" s="71"/>
      <c r="O115" s="71">
        <v>900000</v>
      </c>
      <c r="P115" s="71">
        <f>-900000</f>
        <v>-900000</v>
      </c>
      <c r="Q115" s="71"/>
      <c r="R115" s="71">
        <v>573500</v>
      </c>
      <c r="S115" s="71"/>
      <c r="T115" s="71"/>
      <c r="U115" s="71"/>
      <c r="V115" s="71"/>
      <c r="W115" s="71">
        <f>900000</f>
        <v>900000</v>
      </c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1339880+284982.79+729917+12975.28</f>
        <v>2367755.07</v>
      </c>
      <c r="I116" s="42">
        <f t="shared" si="14"/>
        <v>51.97462704127975</v>
      </c>
      <c r="J116" s="63">
        <f t="shared" si="15"/>
        <v>76.3791958064516</v>
      </c>
      <c r="L116" s="73">
        <f t="shared" si="16"/>
        <v>-732244.9300000002</v>
      </c>
      <c r="M116" s="71"/>
      <c r="N116" s="71"/>
      <c r="O116" s="71">
        <v>2200000</v>
      </c>
      <c r="P116" s="71">
        <f>900000</f>
        <v>900000</v>
      </c>
      <c r="Q116" s="71"/>
      <c r="R116" s="71"/>
      <c r="S116" s="71"/>
      <c r="T116" s="71">
        <f>2355598-900000</f>
        <v>1455598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67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67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67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67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67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67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67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67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67">
        <f>2873000+2837862.43</f>
        <v>5710862.43</v>
      </c>
      <c r="I125" s="42">
        <f t="shared" si="14"/>
        <v>95.47223080395206</v>
      </c>
      <c r="J125" s="63">
        <f t="shared" si="15"/>
        <v>99.24520905672736</v>
      </c>
      <c r="L125" s="73">
        <f t="shared" si="16"/>
        <v>-43432.90000000037</v>
      </c>
      <c r="M125" s="71"/>
      <c r="N125" s="71"/>
      <c r="O125" s="71">
        <v>3290879</v>
      </c>
      <c r="P125" s="71">
        <f>860036+1603380.33</f>
        <v>2463416.33</v>
      </c>
      <c r="Q125" s="71">
        <f>506858-279453.33</f>
        <v>227404.66999999998</v>
      </c>
      <c r="R125" s="71">
        <f>600000-600000</f>
        <v>0</v>
      </c>
      <c r="S125" s="71">
        <f>600000-600000</f>
        <v>0</v>
      </c>
      <c r="T125" s="71">
        <f>123927-123927</f>
        <v>0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67" t="s">
        <v>191</v>
      </c>
      <c r="I126" s="44" t="e">
        <f t="shared" si="14"/>
        <v>#VALUE!</v>
      </c>
      <c r="J126" s="63" t="e">
        <f t="shared" si="15"/>
        <v>#VALUE!</v>
      </c>
      <c r="L126" s="73" t="e">
        <f t="shared" si="16"/>
        <v>#VALUE!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67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67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67">
        <f>159000+364000+191373.72</f>
        <v>714373.72</v>
      </c>
      <c r="I129" s="42">
        <f t="shared" si="14"/>
        <v>6.1663678895123</v>
      </c>
      <c r="J129" s="63">
        <f t="shared" si="15"/>
        <v>46.34818681059199</v>
      </c>
      <c r="L129" s="73">
        <f t="shared" si="16"/>
        <v>-826945.95</v>
      </c>
      <c r="M129" s="71"/>
      <c r="N129" s="71"/>
      <c r="O129" s="71">
        <f>4423300-3920000+3920000-105000-1100000-313600</f>
        <v>2904700</v>
      </c>
      <c r="P129" s="71">
        <f>-1363380.33</f>
        <v>-1363380.33</v>
      </c>
      <c r="Q129" s="71">
        <f>279453.33</f>
        <v>279453.33</v>
      </c>
      <c r="R129" s="71">
        <f>600000</f>
        <v>600000</v>
      </c>
      <c r="S129" s="71">
        <f>419862+105000+67600+360000</f>
        <v>952462</v>
      </c>
      <c r="T129" s="71">
        <f>2618790+1100000+123927</f>
        <v>3842717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67">
        <f>178841+107000+461139</f>
        <v>746980</v>
      </c>
      <c r="I130" s="42">
        <f t="shared" si="14"/>
        <v>23.343125</v>
      </c>
      <c r="J130" s="63">
        <f t="shared" si="15"/>
        <v>67.90727272727273</v>
      </c>
      <c r="L130" s="73">
        <f t="shared" si="16"/>
        <v>-353020</v>
      </c>
      <c r="M130" s="71"/>
      <c r="N130" s="71"/>
      <c r="O130" s="71">
        <v>1700000</v>
      </c>
      <c r="P130" s="71">
        <f>400000-1000000</f>
        <v>-600000</v>
      </c>
      <c r="Q130" s="71">
        <f>350000</f>
        <v>350000</v>
      </c>
      <c r="R130" s="71">
        <v>400000</v>
      </c>
      <c r="S130" s="71">
        <f>350000+240000</f>
        <v>590000</v>
      </c>
      <c r="T130" s="71"/>
      <c r="U130" s="71">
        <f>760000</f>
        <v>760000</v>
      </c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67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85" t="s">
        <v>48</v>
      </c>
      <c r="B139" s="85"/>
      <c r="C139" s="85"/>
      <c r="D139" s="85"/>
      <c r="E139" s="85"/>
      <c r="F139" s="85"/>
      <c r="G139" s="85"/>
      <c r="H139" s="85"/>
      <c r="I139" s="85"/>
      <c r="J139" s="8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36639751.260000005</v>
      </c>
      <c r="I140" s="40">
        <f>H140/D140*100</f>
        <v>27.12006577252743</v>
      </c>
      <c r="J140" s="40">
        <f>H140/(N140+O140+P140)*100</f>
        <v>94.90934993877352</v>
      </c>
      <c r="K140" s="37"/>
      <c r="L140" s="73">
        <f>H140-(M140+N140+O140+P140)</f>
        <v>-1965245.2799999937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7585125</v>
      </c>
      <c r="Q140" s="47">
        <f t="shared" si="24"/>
        <v>3129200</v>
      </c>
      <c r="R140" s="47">
        <f t="shared" si="24"/>
        <v>2379528.46</v>
      </c>
      <c r="S140" s="47">
        <f t="shared" si="24"/>
        <v>17327595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16342240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36639751.260000005</v>
      </c>
      <c r="I141" s="60">
        <f>H141/D141*100</f>
        <v>27.12006577252743</v>
      </c>
      <c r="J141" s="40">
        <f>H141/(N140+O140+P140)*100</f>
        <v>94.90934993877352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1460000+1581342.49</f>
        <v>3041342.49</v>
      </c>
      <c r="I153" s="50">
        <f>H153/G153*100</f>
        <v>60.826849800000005</v>
      </c>
      <c r="J153" s="63">
        <f t="shared" si="27"/>
        <v>99.87578473790076</v>
      </c>
      <c r="L153" s="73">
        <f t="shared" si="28"/>
        <v>-3782.5099999997765</v>
      </c>
      <c r="M153" s="55"/>
      <c r="N153" s="55"/>
      <c r="O153" s="55"/>
      <c r="P153" s="55">
        <f>1460000+1585125</f>
        <v>3045125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f>2385565-1585125</f>
        <v>800440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16806225.23+2399840.4</f>
        <v>19206065.63</v>
      </c>
      <c r="I157" s="50">
        <f>H157/G157*100</f>
        <v>71.1335764074074</v>
      </c>
      <c r="J157" s="63">
        <f t="shared" si="27"/>
        <v>96.59541130614092</v>
      </c>
      <c r="L157" s="73">
        <f t="shared" si="28"/>
        <v>-676934.370000001</v>
      </c>
      <c r="M157" s="55"/>
      <c r="N157" s="55"/>
      <c r="O157" s="55">
        <f>13500000-17000+700000</f>
        <v>14183000</v>
      </c>
      <c r="P157" s="55">
        <f>3000000+2700000</f>
        <v>5700000</v>
      </c>
      <c r="Q157" s="55"/>
      <c r="R157" s="55"/>
      <c r="S157" s="55">
        <f>6750000-700000-3000000-2700000</f>
        <v>350000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65">
        <f>37910.17+6413</f>
        <v>44323.17</v>
      </c>
      <c r="I167" s="50">
        <f>H167/G167*100</f>
        <v>0.3657027227722772</v>
      </c>
      <c r="J167" s="63">
        <f t="shared" si="27"/>
        <v>34.09474615384615</v>
      </c>
      <c r="L167" s="73">
        <f t="shared" si="28"/>
        <v>-85676.83</v>
      </c>
      <c r="M167" s="55"/>
      <c r="N167" s="55"/>
      <c r="O167" s="55"/>
      <c r="P167" s="55">
        <f>3300000-1460000-1710000</f>
        <v>130000</v>
      </c>
      <c r="Q167" s="55">
        <v>1329200</v>
      </c>
      <c r="R167" s="55">
        <v>2379528.46</v>
      </c>
      <c r="S167" s="55">
        <f>330800+1460000+1710000</f>
        <v>3500800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65">
        <f>4351772.44</f>
        <v>4351772.44</v>
      </c>
      <c r="I168" s="50">
        <f>H168/G168*100</f>
        <v>24.176513555555555</v>
      </c>
      <c r="J168" s="63">
        <f t="shared" si="27"/>
        <v>99.92883601797358</v>
      </c>
      <c r="L168" s="73">
        <f t="shared" si="28"/>
        <v>-3099.0999999996275</v>
      </c>
      <c r="M168" s="55"/>
      <c r="N168" s="55"/>
      <c r="O168" s="55">
        <v>5644871.54</v>
      </c>
      <c r="P168" s="55">
        <f>-3000000+1710000</f>
        <v>-1290000</v>
      </c>
      <c r="Q168" s="55"/>
      <c r="R168" s="55"/>
      <c r="S168" s="55">
        <f>3355128.46+3000000-1710000</f>
        <v>4645128.46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67421692.35</v>
      </c>
      <c r="I173" s="40">
        <f>H173/D173*100</f>
        <v>23.64345010619244</v>
      </c>
      <c r="J173" s="46">
        <f>H173/(M173+N173+O173+P173)*100</f>
        <v>85.41445003077833</v>
      </c>
      <c r="L173" s="73">
        <f t="shared" si="28"/>
        <v>-11513069.070000008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11381661</v>
      </c>
      <c r="Q173" s="55">
        <f t="shared" si="31"/>
        <v>14092513</v>
      </c>
      <c r="R173" s="55">
        <f t="shared" si="31"/>
        <v>15009528.46</v>
      </c>
      <c r="S173" s="55">
        <f t="shared" si="31"/>
        <v>30158207</v>
      </c>
      <c r="T173" s="55">
        <f t="shared" si="31"/>
        <v>38313715.120000005</v>
      </c>
      <c r="U173" s="55">
        <f t="shared" si="31"/>
        <v>22292589</v>
      </c>
      <c r="V173" s="55">
        <f t="shared" si="31"/>
        <v>29619127</v>
      </c>
      <c r="W173" s="55">
        <f t="shared" si="31"/>
        <v>26083996</v>
      </c>
      <c r="X173" s="55">
        <f t="shared" si="31"/>
        <v>30205690</v>
      </c>
      <c r="Y173" s="22">
        <f>SUM(M173:X173)</f>
        <v>284710127</v>
      </c>
      <c r="Z173" s="39">
        <f t="shared" si="30"/>
        <v>-450000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2017-04-26T13:44:46Z</dcterms:modified>
  <cp:category/>
  <cp:version/>
  <cp:contentType/>
  <cp:contentStatus/>
</cp:coreProperties>
</file>